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bme108_psu_edu/Documents/bme108/Desktop/NEED TO PRINT/"/>
    </mc:Choice>
  </mc:AlternateContent>
  <xr:revisionPtr revIDLastSave="0" documentId="8_{08780263-7602-455B-B51C-D96A9D88D1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Construction (1-C DGS)" sheetId="1" r:id="rId1"/>
  </sheets>
  <definedNames>
    <definedName name="_xlnm.Print_Area" localSheetId="0">'General Construction (1-C DGS)'!$A$1:$M$24</definedName>
    <definedName name="_xlnm.Print_Titles" localSheetId="0">'General Construction (1-C DGS)'!$A:$D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L16" i="1" s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K16" i="1" s="1"/>
  <c r="J13" i="1"/>
  <c r="J16" i="1" s="1"/>
  <c r="I13" i="1"/>
  <c r="H13" i="1"/>
  <c r="G13" i="1"/>
  <c r="F13" i="1"/>
  <c r="F16" i="1" s="1"/>
  <c r="E13" i="1"/>
  <c r="E16" i="1" s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  <c r="M8" i="1"/>
  <c r="M11" i="1" s="1"/>
  <c r="M19" i="1" s="1"/>
  <c r="L8" i="1"/>
  <c r="K8" i="1"/>
  <c r="J8" i="1"/>
  <c r="I8" i="1"/>
  <c r="H8" i="1"/>
  <c r="G8" i="1"/>
  <c r="F8" i="1"/>
  <c r="E8" i="1"/>
  <c r="M7" i="1"/>
  <c r="L7" i="1"/>
  <c r="L11" i="1" s="1"/>
  <c r="L19" i="1" s="1"/>
  <c r="K7" i="1"/>
  <c r="K11" i="1" s="1"/>
  <c r="K19" i="1" s="1"/>
  <c r="J7" i="1"/>
  <c r="J11" i="1" s="1"/>
  <c r="J19" i="1" s="1"/>
  <c r="I7" i="1"/>
  <c r="H7" i="1"/>
  <c r="G7" i="1"/>
  <c r="F7" i="1"/>
  <c r="E7" i="1"/>
  <c r="M16" i="1" l="1"/>
  <c r="E11" i="1"/>
  <c r="E19" i="1" s="1"/>
  <c r="F11" i="1"/>
  <c r="F19" i="1" s="1"/>
  <c r="G11" i="1"/>
  <c r="G19" i="1" s="1"/>
  <c r="G16" i="1"/>
  <c r="H11" i="1"/>
  <c r="H19" i="1" s="1"/>
  <c r="H16" i="1"/>
  <c r="I11" i="1"/>
  <c r="I19" i="1" s="1"/>
  <c r="I16" i="1"/>
</calcChain>
</file>

<file path=xl/sharedStrings.xml><?xml version="1.0" encoding="utf-8"?>
<sst xmlns="http://schemas.openxmlformats.org/spreadsheetml/2006/main" count="149" uniqueCount="85">
  <si>
    <t/>
  </si>
  <si>
    <t>East Coast Contracting, Inc.^</t>
  </si>
  <si>
    <t>RLS Construction Group</t>
  </si>
  <si>
    <t>McCoy Bros., Inc.</t>
  </si>
  <si>
    <t>Wagman Construction, Inc.^</t>
  </si>
  <si>
    <t>KEYSTRUCT CONSTRUCTION LLC ^</t>
  </si>
  <si>
    <t>Premier Construction Group, Inc.</t>
  </si>
  <si>
    <t>Poole Anderson Construction, LLC^</t>
  </si>
  <si>
    <t>Mid State, Inc.^</t>
  </si>
  <si>
    <t>Kinsley Construction, Inc.</t>
  </si>
  <si>
    <t>Project:</t>
  </si>
  <si>
    <t>HB-Library-Window Repairs/Replacement</t>
  </si>
  <si>
    <t>Chris Getz</t>
  </si>
  <si>
    <t>Timothy Hess</t>
  </si>
  <si>
    <t>A.J. Killian</t>
  </si>
  <si>
    <t>James Weber</t>
  </si>
  <si>
    <t>Robert Weir</t>
  </si>
  <si>
    <t>Marci Kennedy</t>
  </si>
  <si>
    <t>Tiffany Haines</t>
  </si>
  <si>
    <t>Tyler Smith</t>
  </si>
  <si>
    <t>Anne Miller</t>
  </si>
  <si>
    <t>Bid Open Date:</t>
  </si>
  <si>
    <t>04.04.2024 3:04 PM</t>
  </si>
  <si>
    <t>Admin@eastcoastcontracting.net</t>
  </si>
  <si>
    <t>thess@rlscg.com</t>
  </si>
  <si>
    <t>akillian@mccoybrothers.com</t>
  </si>
  <si>
    <t>jbweber@wagman.com</t>
  </si>
  <si>
    <t>rweir@keystruct.com</t>
  </si>
  <si>
    <t>mkennedy@premierconstructiongroupinc.com</t>
  </si>
  <si>
    <t>thaines@pooleanderson.com</t>
  </si>
  <si>
    <t>tsmith@midstate-winall.com</t>
  </si>
  <si>
    <t>amiller@kinsleyconstruction.com</t>
  </si>
  <si>
    <t>7177745550 | 7177745151</t>
  </si>
  <si>
    <t>7172412023 | 7172412055</t>
  </si>
  <si>
    <t>717-814-4900</t>
  </si>
  <si>
    <t>(717) 764-1326</t>
  </si>
  <si>
    <t>7177911023</t>
  </si>
  <si>
    <t>(814) 237-6667</t>
  </si>
  <si>
    <t>(717) 236-4321</t>
  </si>
  <si>
    <t>Description</t>
  </si>
  <si>
    <t>Quantity</t>
  </si>
  <si>
    <t>UoM</t>
  </si>
  <si>
    <t>Total Cost</t>
  </si>
  <si>
    <t>Base Bid</t>
  </si>
  <si>
    <t>1</t>
  </si>
  <si>
    <t>Base Bid 1 for the North Façade Window Replacement (First and Second Floors)</t>
  </si>
  <si>
    <t>LS</t>
  </si>
  <si>
    <t>2</t>
  </si>
  <si>
    <t>Base Bid for the North Façade Window Replacement (Third Floor)</t>
  </si>
  <si>
    <t>3</t>
  </si>
  <si>
    <t>Base Bid for the West and South Façade Window Replacement (All Floors)</t>
  </si>
  <si>
    <t>4</t>
  </si>
  <si>
    <t>Base Bid for the East Façade Window Replacement (All Floors)</t>
  </si>
  <si>
    <t>Base Bid Cost Total</t>
  </si>
  <si>
    <t>Alternate</t>
  </si>
  <si>
    <t>Unit Price for removal of existing mortar by mechanical means &amp; replacement w/ new mortar to match the color &amp; tooling of existing mortar to remain.</t>
  </si>
  <si>
    <t>SF</t>
  </si>
  <si>
    <t>Unit Price for replacement, patching and painting of drywall outside of the areas defined on the drawings.</t>
  </si>
  <si>
    <t>Unit Price for removal and replacement in kind of brick masonry outside of the areas defined on the drawings.</t>
  </si>
  <si>
    <t>Alternate Cost Total</t>
  </si>
  <si>
    <t>Bid Summary</t>
  </si>
  <si>
    <t>Base Bid Total</t>
  </si>
  <si>
    <t>Custom Fields</t>
  </si>
  <si>
    <t>Bid Bond</t>
  </si>
  <si>
    <t> PSUHB_EastCoast_BidBond,Cert,PAEV.pdf (version 1)</t>
  </si>
  <si>
    <t> Bid Bond RLS Signed.pdf (version 1)</t>
  </si>
  <si>
    <t> McCoy Brothers Bid Bond - PSU Library Window 240404.pdf (version 1)</t>
  </si>
  <si>
    <t> 000 Combined Bid Docs.pdf (version 1)</t>
  </si>
  <si>
    <t> Bid Bond.pdf (version 1)</t>
  </si>
  <si>
    <t> Bid Bond PSU window Replacement.pdf (version 1)</t>
  </si>
  <si>
    <t> bid bond.pdf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</si>
  <si>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</si>
  <si>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</si>
  <si>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No qualifications or clarifications will be accepted. All questions and clarifications are to be addressed via RFI during the bid period.  Submission of such with a Bid may result in the Bid being REJECTED at the University's discretion.  **Pricing based on award and completion of all 4 base bids options this year (2024). If work is expected to take place beyond the year 2024 the work will need renegotiated. Base bid 1 to be completed in time frame issued by PSU. Base bid 2, 3 and 4 bid schedules to be determined and negotiated with PSU upon award. **</t>
  </si>
  <si>
    <t>PA Vendor Number (required for DGS projects only)</t>
  </si>
  <si>
    <t>152162</t>
  </si>
  <si>
    <t>374-863</t>
  </si>
  <si>
    <t> </t>
  </si>
  <si>
    <t>0000409968</t>
  </si>
  <si>
    <t>0000559453</t>
  </si>
  <si>
    <t>0000327502</t>
  </si>
  <si>
    <t>157573</t>
  </si>
  <si>
    <t>PA019031</t>
  </si>
  <si>
    <t>119774</t>
  </si>
  <si>
    <t>Project # 00-08549.00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</si>
</sst>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4" xfId="0" applyNumberFormat="1" applyFill="1" applyBorder="1"/>
    <xf numFmtId="4" fontId="1" fillId="5" borderId="15" xfId="0" applyNumberFormat="1" applyFont="1" applyFill="1" applyBorder="1"/>
    <xf numFmtId="0" fontId="0" fillId="2" borderId="10" xfId="0" applyFill="1" applyBorder="1"/>
    <xf numFmtId="4" fontId="0" fillId="4" borderId="2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" fillId="2" borderId="8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2" xfId="0" applyFill="1" applyBorder="1"/>
    <xf numFmtId="0" fontId="1" fillId="2" borderId="10" xfId="0" applyFont="1" applyFill="1" applyBorder="1"/>
    <xf numFmtId="0" fontId="0" fillId="4" borderId="10" xfId="0" applyFill="1" applyBorder="1"/>
    <xf numFmtId="0" fontId="0" fillId="4" borderId="14" xfId="0" applyFill="1" applyBorder="1"/>
    <xf numFmtId="0" fontId="0" fillId="4" borderId="15" xfId="0" applyFill="1" applyBorder="1"/>
    <xf numFmtId="0" fontId="1" fillId="3" borderId="10" xfId="0" applyFont="1" applyFill="1" applyBorder="1"/>
    <xf numFmtId="0" fontId="1" fillId="5" borderId="15" xfId="0" applyFont="1" applyFill="1" applyBorder="1"/>
    <xf numFmtId="0" fontId="3" fillId="2" borderId="1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5C05-FEAA-482D-957D-D3CBCD6A62FA}">
  <sheetPr>
    <outlinePr summaryBelow="0"/>
  </sheetPr>
  <dimension ref="A1:M24"/>
  <sheetViews>
    <sheetView showGridLines="0" tabSelected="1" zoomScale="85" zoomScaleNormal="85" workbookViewId="0">
      <selection activeCell="A23" sqref="A23:D23"/>
    </sheetView>
  </sheetViews>
  <sheetFormatPr defaultRowHeight="12.75" outlineLevelRow="1" x14ac:dyDescent="0.2"/>
  <cols>
    <col min="1" max="1" width="14.7109375" customWidth="1"/>
    <col min="2" max="2" width="39.140625" style="22" customWidth="1"/>
    <col min="3" max="3" width="8.5703125" bestFit="1" customWidth="1"/>
    <col min="4" max="4" width="5.7109375" customWidth="1"/>
    <col min="5" max="8" width="31.5703125" customWidth="1"/>
    <col min="9" max="9" width="35.85546875" customWidth="1"/>
    <col min="10" max="10" width="46.85546875" customWidth="1"/>
    <col min="11" max="11" width="34.85546875" customWidth="1"/>
    <col min="12" max="13" width="31.5703125" customWidth="1"/>
  </cols>
  <sheetData>
    <row r="1" spans="1:13" x14ac:dyDescent="0.2">
      <c r="A1" s="30" t="s">
        <v>0</v>
      </c>
      <c r="B1" s="30"/>
      <c r="C1" s="30"/>
      <c r="D1" s="30"/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</row>
    <row r="2" spans="1:13" x14ac:dyDescent="0.2">
      <c r="A2" s="2" t="s">
        <v>10</v>
      </c>
      <c r="B2" s="31" t="s">
        <v>11</v>
      </c>
      <c r="C2" s="31"/>
      <c r="D2" s="31"/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</row>
    <row r="3" spans="1:13" x14ac:dyDescent="0.2">
      <c r="A3" s="2" t="s">
        <v>21</v>
      </c>
      <c r="B3" s="31" t="s">
        <v>22</v>
      </c>
      <c r="C3" s="31"/>
      <c r="D3" s="31"/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</row>
    <row r="4" spans="1:13" ht="13.5" thickBot="1" x14ac:dyDescent="0.25">
      <c r="A4" s="32" t="s">
        <v>84</v>
      </c>
      <c r="B4" s="32"/>
      <c r="C4" s="32"/>
      <c r="D4" s="32"/>
      <c r="E4" s="4" t="s">
        <v>32</v>
      </c>
      <c r="F4" s="4" t="s">
        <v>0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0</v>
      </c>
    </row>
    <row r="5" spans="1:13" ht="13.5" thickBot="1" x14ac:dyDescent="0.25">
      <c r="A5" s="5" t="s">
        <v>0</v>
      </c>
      <c r="B5" s="20" t="s">
        <v>39</v>
      </c>
      <c r="C5" s="6" t="s">
        <v>40</v>
      </c>
      <c r="D5" s="7" t="s">
        <v>41</v>
      </c>
      <c r="E5" s="8" t="s">
        <v>42</v>
      </c>
      <c r="F5" s="8" t="s">
        <v>42</v>
      </c>
      <c r="G5" s="8" t="s">
        <v>42</v>
      </c>
      <c r="H5" s="8" t="s">
        <v>42</v>
      </c>
      <c r="I5" s="8" t="s">
        <v>42</v>
      </c>
      <c r="J5" s="8" t="s">
        <v>42</v>
      </c>
      <c r="K5" s="8" t="s">
        <v>42</v>
      </c>
      <c r="L5" s="8" t="s">
        <v>42</v>
      </c>
      <c r="M5" s="8" t="s">
        <v>42</v>
      </c>
    </row>
    <row r="6" spans="1:13" x14ac:dyDescent="0.2">
      <c r="A6" s="28" t="s">
        <v>43</v>
      </c>
      <c r="B6" s="28"/>
      <c r="C6" s="28"/>
      <c r="D6" s="28"/>
      <c r="E6" s="9" t="s">
        <v>0</v>
      </c>
      <c r="F6" s="9" t="s">
        <v>0</v>
      </c>
      <c r="G6" s="9" t="s">
        <v>0</v>
      </c>
      <c r="H6" s="9" t="s">
        <v>0</v>
      </c>
      <c r="I6" s="9" t="s">
        <v>0</v>
      </c>
      <c r="J6" s="9" t="s">
        <v>0</v>
      </c>
      <c r="K6" s="9" t="s">
        <v>0</v>
      </c>
      <c r="L6" s="9" t="s">
        <v>0</v>
      </c>
      <c r="M6" s="9" t="s">
        <v>0</v>
      </c>
    </row>
    <row r="7" spans="1:13" ht="25.5" outlineLevel="1" x14ac:dyDescent="0.2">
      <c r="A7" s="10" t="s">
        <v>44</v>
      </c>
      <c r="B7" s="21" t="s">
        <v>45</v>
      </c>
      <c r="C7" s="11">
        <v>1</v>
      </c>
      <c r="D7" s="12" t="s">
        <v>46</v>
      </c>
      <c r="E7" s="13">
        <f>C7*887700</f>
        <v>887700</v>
      </c>
      <c r="F7" s="13">
        <f>C7*952880</f>
        <v>952880</v>
      </c>
      <c r="G7" s="13">
        <f>C7*949034</f>
        <v>949034</v>
      </c>
      <c r="H7" s="13">
        <f>C7*954000</f>
        <v>954000</v>
      </c>
      <c r="I7" s="13">
        <f>C7*927700</f>
        <v>927700</v>
      </c>
      <c r="J7" s="13">
        <f>C7*979883</f>
        <v>979883</v>
      </c>
      <c r="K7" s="13">
        <f>C7*1015164</f>
        <v>1015164</v>
      </c>
      <c r="L7" s="13">
        <f>C7*1296455</f>
        <v>1296455</v>
      </c>
      <c r="M7" s="13">
        <f>C7*1209137</f>
        <v>1209137</v>
      </c>
    </row>
    <row r="8" spans="1:13" ht="25.5" outlineLevel="1" x14ac:dyDescent="0.2">
      <c r="A8" s="10" t="s">
        <v>47</v>
      </c>
      <c r="B8" s="21" t="s">
        <v>48</v>
      </c>
      <c r="C8" s="11">
        <v>1</v>
      </c>
      <c r="D8" s="12" t="s">
        <v>46</v>
      </c>
      <c r="E8" s="13">
        <f>C8*350500</f>
        <v>350500</v>
      </c>
      <c r="F8" s="13">
        <f>C8*364000</f>
        <v>364000</v>
      </c>
      <c r="G8" s="13">
        <f>C8*390457</f>
        <v>390457</v>
      </c>
      <c r="H8" s="13">
        <f>C8*391000</f>
        <v>391000</v>
      </c>
      <c r="I8" s="13">
        <f>C8*377900</f>
        <v>377900</v>
      </c>
      <c r="J8" s="13">
        <f>C8*439579</f>
        <v>439579</v>
      </c>
      <c r="K8" s="13">
        <f>C8*412526</f>
        <v>412526</v>
      </c>
      <c r="L8" s="13">
        <f>C8*501970</f>
        <v>501970</v>
      </c>
      <c r="M8" s="13">
        <f>C8*480170</f>
        <v>480170</v>
      </c>
    </row>
    <row r="9" spans="1:13" ht="25.5" outlineLevel="1" x14ac:dyDescent="0.2">
      <c r="A9" s="10" t="s">
        <v>49</v>
      </c>
      <c r="B9" s="21" t="s">
        <v>50</v>
      </c>
      <c r="C9" s="11">
        <v>1</v>
      </c>
      <c r="D9" s="12" t="s">
        <v>46</v>
      </c>
      <c r="E9" s="13">
        <f>C9*974700</f>
        <v>974700</v>
      </c>
      <c r="F9" s="13">
        <f>C9*1019000</f>
        <v>1019000</v>
      </c>
      <c r="G9" s="13">
        <f>C9*1044779</f>
        <v>1044779</v>
      </c>
      <c r="H9" s="13">
        <f>C9*1087000</f>
        <v>1087000</v>
      </c>
      <c r="I9" s="13">
        <f>C9*1152300</f>
        <v>1152300</v>
      </c>
      <c r="J9" s="13">
        <f>C9*1128745</f>
        <v>1128745</v>
      </c>
      <c r="K9" s="13">
        <f>C9*1200751</f>
        <v>1200751</v>
      </c>
      <c r="L9" s="13">
        <f>C9*1129074</f>
        <v>1129074</v>
      </c>
      <c r="M9" s="13">
        <f>C9*1499823</f>
        <v>1499823</v>
      </c>
    </row>
    <row r="10" spans="1:13" ht="25.5" outlineLevel="1" x14ac:dyDescent="0.2">
      <c r="A10" s="10" t="s">
        <v>51</v>
      </c>
      <c r="B10" s="21" t="s">
        <v>52</v>
      </c>
      <c r="C10" s="11">
        <v>1</v>
      </c>
      <c r="D10" s="12" t="s">
        <v>46</v>
      </c>
      <c r="E10" s="13">
        <f>C10*358000</f>
        <v>358000</v>
      </c>
      <c r="F10" s="13">
        <f>C10*409400</f>
        <v>409400</v>
      </c>
      <c r="G10" s="13">
        <f>C10*443728</f>
        <v>443728</v>
      </c>
      <c r="H10" s="13">
        <f>C10*432000</f>
        <v>432000</v>
      </c>
      <c r="I10" s="13">
        <f>C10*423900</f>
        <v>423900</v>
      </c>
      <c r="J10" s="13">
        <f>C10*508836</f>
        <v>508836</v>
      </c>
      <c r="K10" s="13">
        <f>C10*458024</f>
        <v>458024</v>
      </c>
      <c r="L10" s="13">
        <f>C10*543308</f>
        <v>543308</v>
      </c>
      <c r="M10" s="13">
        <f>C10*618979</f>
        <v>618979</v>
      </c>
    </row>
    <row r="11" spans="1:13" ht="13.5" thickBot="1" x14ac:dyDescent="0.25">
      <c r="A11" s="29" t="s">
        <v>53</v>
      </c>
      <c r="B11" s="29"/>
      <c r="C11" s="29"/>
      <c r="D11" s="29"/>
      <c r="E11" s="14">
        <f t="shared" ref="E11:M11" si="0">SUM(E7:E10)</f>
        <v>2570900</v>
      </c>
      <c r="F11" s="14">
        <f t="shared" si="0"/>
        <v>2745280</v>
      </c>
      <c r="G11" s="14">
        <f t="shared" si="0"/>
        <v>2827998</v>
      </c>
      <c r="H11" s="14">
        <f t="shared" si="0"/>
        <v>2864000</v>
      </c>
      <c r="I11" s="14">
        <f t="shared" si="0"/>
        <v>2881800</v>
      </c>
      <c r="J11" s="14">
        <f t="shared" si="0"/>
        <v>3057043</v>
      </c>
      <c r="K11" s="14">
        <f t="shared" si="0"/>
        <v>3086465</v>
      </c>
      <c r="L11" s="14">
        <f t="shared" si="0"/>
        <v>3470807</v>
      </c>
      <c r="M11" s="14">
        <f t="shared" si="0"/>
        <v>3808109</v>
      </c>
    </row>
    <row r="12" spans="1:13" x14ac:dyDescent="0.2">
      <c r="A12" s="28" t="s">
        <v>54</v>
      </c>
      <c r="B12" s="28"/>
      <c r="C12" s="28"/>
      <c r="D12" s="28"/>
      <c r="E12" s="9" t="s">
        <v>0</v>
      </c>
      <c r="F12" s="9" t="s">
        <v>0</v>
      </c>
      <c r="G12" s="9" t="s">
        <v>0</v>
      </c>
      <c r="H12" s="9" t="s">
        <v>0</v>
      </c>
      <c r="I12" s="9" t="s">
        <v>0</v>
      </c>
      <c r="J12" s="9" t="s">
        <v>0</v>
      </c>
      <c r="K12" s="9" t="s">
        <v>0</v>
      </c>
      <c r="L12" s="9" t="s">
        <v>0</v>
      </c>
      <c r="M12" s="9" t="s">
        <v>0</v>
      </c>
    </row>
    <row r="13" spans="1:13" ht="51" outlineLevel="1" x14ac:dyDescent="0.2">
      <c r="A13" s="10" t="s">
        <v>44</v>
      </c>
      <c r="B13" s="21" t="s">
        <v>55</v>
      </c>
      <c r="C13" s="11">
        <v>1</v>
      </c>
      <c r="D13" s="12" t="s">
        <v>56</v>
      </c>
      <c r="E13" s="13">
        <f>C13*15</f>
        <v>15</v>
      </c>
      <c r="F13" s="13">
        <f>C13*39</f>
        <v>39</v>
      </c>
      <c r="G13" s="13">
        <f>C13*39.38</f>
        <v>39.380000000000003</v>
      </c>
      <c r="H13" s="13">
        <f>C13*43.5</f>
        <v>43.5</v>
      </c>
      <c r="I13" s="13">
        <f>C13*38</f>
        <v>38</v>
      </c>
      <c r="J13" s="13">
        <f>C13*42</f>
        <v>42</v>
      </c>
      <c r="K13" s="13">
        <f>C13*37</f>
        <v>37</v>
      </c>
      <c r="L13" s="13">
        <f>C13*47</f>
        <v>47</v>
      </c>
      <c r="M13" s="13">
        <f>C13*41</f>
        <v>41</v>
      </c>
    </row>
    <row r="14" spans="1:13" ht="38.25" outlineLevel="1" x14ac:dyDescent="0.2">
      <c r="A14" s="10" t="s">
        <v>47</v>
      </c>
      <c r="B14" s="21" t="s">
        <v>57</v>
      </c>
      <c r="C14" s="11">
        <v>1</v>
      </c>
      <c r="D14" s="12" t="s">
        <v>56</v>
      </c>
      <c r="E14" s="13">
        <f>C14*38</f>
        <v>38</v>
      </c>
      <c r="F14" s="13">
        <f>C14*21</f>
        <v>21</v>
      </c>
      <c r="G14" s="13">
        <f>C14*42.75</f>
        <v>42.75</v>
      </c>
      <c r="H14" s="13">
        <f>C14*47.5</f>
        <v>47.5</v>
      </c>
      <c r="I14" s="13">
        <f>C14*36</f>
        <v>36</v>
      </c>
      <c r="J14" s="13">
        <f>C14*48</f>
        <v>48</v>
      </c>
      <c r="K14" s="13">
        <f>C14*38</f>
        <v>38</v>
      </c>
      <c r="L14" s="13">
        <f>C14*77</f>
        <v>77</v>
      </c>
      <c r="M14" s="13">
        <f>C14*48</f>
        <v>48</v>
      </c>
    </row>
    <row r="15" spans="1:13" ht="38.25" outlineLevel="1" x14ac:dyDescent="0.2">
      <c r="A15" s="10" t="s">
        <v>49</v>
      </c>
      <c r="B15" s="21" t="s">
        <v>58</v>
      </c>
      <c r="C15" s="11">
        <v>1</v>
      </c>
      <c r="D15" s="12" t="s">
        <v>56</v>
      </c>
      <c r="E15" s="13">
        <f>C15*100</f>
        <v>100</v>
      </c>
      <c r="F15" s="13">
        <f>C15*257</f>
        <v>257</v>
      </c>
      <c r="G15" s="13">
        <f>C15*106.88</f>
        <v>106.88</v>
      </c>
      <c r="H15" s="13">
        <f>C15*288.38</f>
        <v>288.38</v>
      </c>
      <c r="I15" s="13">
        <f>C15*254</f>
        <v>254</v>
      </c>
      <c r="J15" s="13">
        <f>C15*420</f>
        <v>420</v>
      </c>
      <c r="K15" s="13">
        <f>C15*244</f>
        <v>244</v>
      </c>
      <c r="L15" s="13">
        <f>C15*116</f>
        <v>116</v>
      </c>
      <c r="M15" s="13">
        <f>C15*111.5</f>
        <v>111.5</v>
      </c>
    </row>
    <row r="16" spans="1:13" ht="13.5" thickBot="1" x14ac:dyDescent="0.25">
      <c r="A16" s="29" t="s">
        <v>59</v>
      </c>
      <c r="B16" s="29"/>
      <c r="C16" s="29"/>
      <c r="D16" s="29"/>
      <c r="E16" s="14">
        <f t="shared" ref="E16:M16" si="1">SUM(E13:E15)</f>
        <v>153</v>
      </c>
      <c r="F16" s="14">
        <f t="shared" si="1"/>
        <v>317</v>
      </c>
      <c r="G16" s="14">
        <f t="shared" si="1"/>
        <v>189.01</v>
      </c>
      <c r="H16" s="14">
        <f t="shared" si="1"/>
        <v>379.38</v>
      </c>
      <c r="I16" s="14">
        <f t="shared" si="1"/>
        <v>328</v>
      </c>
      <c r="J16" s="14">
        <f t="shared" si="1"/>
        <v>510</v>
      </c>
      <c r="K16" s="14">
        <f t="shared" si="1"/>
        <v>319</v>
      </c>
      <c r="L16" s="14">
        <f t="shared" si="1"/>
        <v>240</v>
      </c>
      <c r="M16" s="14">
        <f t="shared" si="1"/>
        <v>200.5</v>
      </c>
    </row>
    <row r="18" spans="1:13" ht="13.5" thickBot="1" x14ac:dyDescent="0.25">
      <c r="A18" s="24" t="s">
        <v>60</v>
      </c>
      <c r="B18" s="24"/>
      <c r="C18" s="24"/>
      <c r="D18" s="24"/>
      <c r="E18" s="15" t="s">
        <v>0</v>
      </c>
      <c r="F18" s="15" t="s">
        <v>0</v>
      </c>
      <c r="G18" s="15" t="s">
        <v>0</v>
      </c>
      <c r="H18" s="15" t="s">
        <v>0</v>
      </c>
      <c r="I18" s="15" t="s">
        <v>0</v>
      </c>
      <c r="J18" s="15" t="s">
        <v>0</v>
      </c>
      <c r="K18" s="15" t="s">
        <v>0</v>
      </c>
      <c r="L18" s="15" t="s">
        <v>0</v>
      </c>
      <c r="M18" s="15" t="s">
        <v>0</v>
      </c>
    </row>
    <row r="19" spans="1:13" ht="13.5" thickBot="1" x14ac:dyDescent="0.25">
      <c r="A19" s="23" t="s">
        <v>61</v>
      </c>
      <c r="B19" s="23"/>
      <c r="C19" s="23"/>
      <c r="D19" s="23"/>
      <c r="E19" s="16">
        <f t="shared" ref="E19:M19" si="2">SUM(E11)</f>
        <v>2570900</v>
      </c>
      <c r="F19" s="16">
        <f t="shared" si="2"/>
        <v>2745280</v>
      </c>
      <c r="G19" s="16">
        <f t="shared" si="2"/>
        <v>2827998</v>
      </c>
      <c r="H19" s="16">
        <f t="shared" si="2"/>
        <v>2864000</v>
      </c>
      <c r="I19" s="16">
        <f t="shared" si="2"/>
        <v>2881800</v>
      </c>
      <c r="J19" s="16">
        <f t="shared" si="2"/>
        <v>3057043</v>
      </c>
      <c r="K19" s="16">
        <f t="shared" si="2"/>
        <v>3086465</v>
      </c>
      <c r="L19" s="16">
        <f t="shared" si="2"/>
        <v>3470807</v>
      </c>
      <c r="M19" s="16">
        <f t="shared" si="2"/>
        <v>3808109</v>
      </c>
    </row>
    <row r="21" spans="1:13" ht="13.5" thickBot="1" x14ac:dyDescent="0.25">
      <c r="A21" s="24" t="s">
        <v>62</v>
      </c>
      <c r="B21" s="24"/>
      <c r="C21" s="24"/>
      <c r="D21" s="24"/>
      <c r="E21" s="15" t="s">
        <v>0</v>
      </c>
      <c r="F21" s="15" t="s">
        <v>0</v>
      </c>
      <c r="G21" s="15" t="s">
        <v>0</v>
      </c>
      <c r="H21" s="15" t="s">
        <v>0</v>
      </c>
      <c r="I21" s="15" t="s">
        <v>0</v>
      </c>
      <c r="J21" s="15" t="s">
        <v>0</v>
      </c>
      <c r="K21" s="15" t="s">
        <v>0</v>
      </c>
      <c r="L21" s="15" t="s">
        <v>0</v>
      </c>
      <c r="M21" s="15" t="s">
        <v>0</v>
      </c>
    </row>
    <row r="22" spans="1:13" ht="38.25" x14ac:dyDescent="0.2">
      <c r="A22" s="25" t="s">
        <v>63</v>
      </c>
      <c r="B22" s="25"/>
      <c r="C22" s="25"/>
      <c r="D22" s="25"/>
      <c r="E22" s="17" t="s">
        <v>64</v>
      </c>
      <c r="F22" s="17" t="s">
        <v>65</v>
      </c>
      <c r="G22" s="17" t="s">
        <v>66</v>
      </c>
      <c r="H22" s="17" t="s">
        <v>67</v>
      </c>
      <c r="I22" s="17" t="s">
        <v>68</v>
      </c>
      <c r="J22" s="17" t="s">
        <v>68</v>
      </c>
      <c r="K22" s="17" t="s">
        <v>69</v>
      </c>
      <c r="L22" s="17" t="s">
        <v>70</v>
      </c>
      <c r="M22" s="17" t="s">
        <v>68</v>
      </c>
    </row>
    <row r="23" spans="1:13" ht="191.25" x14ac:dyDescent="0.2">
      <c r="A23" s="26" t="s">
        <v>71</v>
      </c>
      <c r="B23" s="26"/>
      <c r="C23" s="26"/>
      <c r="D23" s="26"/>
      <c r="E23" s="18" t="s">
        <v>72</v>
      </c>
      <c r="F23" s="18" t="s">
        <v>72</v>
      </c>
      <c r="G23" s="18" t="s">
        <v>72</v>
      </c>
      <c r="H23" s="18" t="s">
        <v>72</v>
      </c>
      <c r="I23" s="18" t="s">
        <v>72</v>
      </c>
      <c r="J23" s="18" t="s">
        <v>72</v>
      </c>
      <c r="K23" s="18" t="s">
        <v>73</v>
      </c>
      <c r="L23" s="18" t="s">
        <v>72</v>
      </c>
      <c r="M23" s="18" t="s">
        <v>72</v>
      </c>
    </row>
    <row r="24" spans="1:13" ht="13.5" thickBot="1" x14ac:dyDescent="0.25">
      <c r="A24" s="27" t="s">
        <v>74</v>
      </c>
      <c r="B24" s="27"/>
      <c r="C24" s="27"/>
      <c r="D24" s="27"/>
      <c r="E24" s="19" t="s">
        <v>75</v>
      </c>
      <c r="F24" s="19" t="s">
        <v>76</v>
      </c>
      <c r="G24" s="19" t="s">
        <v>77</v>
      </c>
      <c r="H24" s="19" t="s">
        <v>78</v>
      </c>
      <c r="I24" s="19" t="s">
        <v>79</v>
      </c>
      <c r="J24" s="19" t="s">
        <v>80</v>
      </c>
      <c r="K24" s="19" t="s">
        <v>81</v>
      </c>
      <c r="L24" s="19" t="s">
        <v>82</v>
      </c>
      <c r="M24" s="19" t="s">
        <v>83</v>
      </c>
    </row>
  </sheetData>
  <mergeCells count="14">
    <mergeCell ref="A1:D1"/>
    <mergeCell ref="B2:D2"/>
    <mergeCell ref="B3:D3"/>
    <mergeCell ref="A4:D4"/>
    <mergeCell ref="A6:D6"/>
    <mergeCell ref="A11:D11"/>
    <mergeCell ref="A12:D12"/>
    <mergeCell ref="A16:D16"/>
    <mergeCell ref="A18:D18"/>
    <mergeCell ref="A19:D19"/>
    <mergeCell ref="A21:D21"/>
    <mergeCell ref="A22:D22"/>
    <mergeCell ref="A23:D23"/>
    <mergeCell ref="A24:D24"/>
  </mergeCells>
  <pageMargins left="0.5" right="0.5" top="0.75" bottom="0.5" header="0.25" footer="0.25"/>
  <pageSetup paperSize="3" orientation="landscape" r:id="rId1"/>
</worksheet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Construction (1-C DGS)</vt:lpstr>
      <vt:lpstr>'General Construction (1-C DGS)'!Print_Area</vt:lpstr>
      <vt:lpstr>'General Construction (1-C DGS)'!Print_Titles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2024-04-05T13:28:20Z</cp:lastPrinted>
  <dcterms:created xsi:type="dcterms:W3CDTF">2024-04-04T20:48:48Z</dcterms:created>
  <dcterms:modified xsi:type="dcterms:W3CDTF">2024-04-05T13:30:20Z</dcterms:modified>
  <cp:category/>
</cp:coreProperties>
</file>